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ktheatre.sharepoint.com/Shared Documents/BOX OFFICE/Sales Analysis/Park 200/Pricing 2024/"/>
    </mc:Choice>
  </mc:AlternateContent>
  <xr:revisionPtr revIDLastSave="0" documentId="8_{E4A3134F-42EB-475F-8A19-86D4A6951A27}" xr6:coauthVersionLast="47" xr6:coauthVersionMax="47" xr10:uidLastSave="{00000000-0000-0000-0000-000000000000}"/>
  <bookViews>
    <workbookView xWindow="-120" yWindow="-120" windowWidth="21840" windowHeight="13140" xr2:uid="{E4E73BE8-17A9-45E6-A3DD-2ADAF01B94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  <c r="D47" i="1"/>
  <c r="B43" i="1"/>
  <c r="E43" i="1" s="1"/>
  <c r="F43" i="1" s="1"/>
  <c r="B41" i="1"/>
  <c r="E41" i="1" s="1"/>
  <c r="F41" i="1" s="1"/>
  <c r="B39" i="1"/>
  <c r="E39" i="1" s="1"/>
  <c r="F39" i="1" s="1"/>
  <c r="B34" i="1"/>
  <c r="E34" i="1" s="1"/>
  <c r="F34" i="1" s="1"/>
  <c r="B32" i="1"/>
  <c r="E32" i="1" s="1"/>
  <c r="F32" i="1" s="1"/>
  <c r="B30" i="1"/>
  <c r="E30" i="1" s="1"/>
  <c r="F30" i="1" s="1"/>
  <c r="B25" i="1"/>
  <c r="E25" i="1" s="1"/>
  <c r="F25" i="1" s="1"/>
  <c r="B23" i="1"/>
  <c r="E23" i="1" s="1"/>
  <c r="F23" i="1" s="1"/>
  <c r="B21" i="1"/>
  <c r="E21" i="1" s="1"/>
  <c r="F21" i="1" s="1"/>
  <c r="E17" i="1"/>
  <c r="E51" i="1" s="1"/>
  <c r="F16" i="1"/>
  <c r="F17" i="1" s="1"/>
  <c r="E16" i="1"/>
  <c r="F13" i="1"/>
  <c r="E13" i="1"/>
  <c r="F12" i="1"/>
  <c r="F14" i="1" s="1"/>
  <c r="E12" i="1"/>
  <c r="E14" i="1" s="1"/>
  <c r="E50" i="1" s="1"/>
  <c r="F11" i="1"/>
  <c r="E11" i="1"/>
  <c r="F9" i="1"/>
  <c r="E9" i="1"/>
  <c r="F50" i="1" l="1"/>
  <c r="G50" i="1"/>
  <c r="F51" i="1"/>
  <c r="G51" i="1"/>
  <c r="B20" i="1"/>
  <c r="E20" i="1" s="1"/>
  <c r="B24" i="1"/>
  <c r="E24" i="1" s="1"/>
  <c r="F24" i="1" s="1"/>
  <c r="B29" i="1"/>
  <c r="E29" i="1" s="1"/>
  <c r="B33" i="1"/>
  <c r="E33" i="1" s="1"/>
  <c r="F33" i="1" s="1"/>
  <c r="B38" i="1"/>
  <c r="E38" i="1" s="1"/>
  <c r="B42" i="1"/>
  <c r="E42" i="1" s="1"/>
  <c r="F42" i="1" s="1"/>
  <c r="B22" i="1"/>
  <c r="E22" i="1" s="1"/>
  <c r="F22" i="1" s="1"/>
  <c r="B31" i="1"/>
  <c r="E31" i="1" s="1"/>
  <c r="F31" i="1" s="1"/>
  <c r="B40" i="1"/>
  <c r="E40" i="1" s="1"/>
  <c r="F40" i="1" s="1"/>
  <c r="E44" i="1" l="1"/>
  <c r="E54" i="1" s="1"/>
  <c r="F38" i="1"/>
  <c r="F44" i="1" s="1"/>
  <c r="E26" i="1"/>
  <c r="E52" i="1" s="1"/>
  <c r="F20" i="1"/>
  <c r="F26" i="1" s="1"/>
  <c r="E35" i="1"/>
  <c r="E53" i="1" s="1"/>
  <c r="F29" i="1"/>
  <c r="F35" i="1" s="1"/>
  <c r="G52" i="1" l="1"/>
  <c r="F52" i="1"/>
  <c r="E56" i="1"/>
  <c r="E59" i="1"/>
  <c r="F59" i="1" s="1"/>
  <c r="G53" i="1"/>
  <c r="F53" i="1"/>
  <c r="G54" i="1"/>
  <c r="H50" i="1" s="1"/>
  <c r="F54" i="1"/>
  <c r="E62" i="1" l="1"/>
  <c r="F56" i="1"/>
  <c r="F62" i="1" s="1"/>
</calcChain>
</file>

<file path=xl/sharedStrings.xml><?xml version="1.0" encoding="utf-8"?>
<sst xmlns="http://schemas.openxmlformats.org/spreadsheetml/2006/main" count="61" uniqueCount="35">
  <si>
    <t>Total Capacity Per Show*</t>
  </si>
  <si>
    <t>Stalls</t>
  </si>
  <si>
    <t>Circle</t>
  </si>
  <si>
    <t>Dynamic pricing trigger point (% remaining)</t>
  </si>
  <si>
    <t>Variable %</t>
  </si>
  <si>
    <t>Maximum Yield</t>
  </si>
  <si>
    <t>A building levy of £1.50 will be added to all advertised ticket prices</t>
  </si>
  <si>
    <t>No of tix</t>
  </si>
  <si>
    <t>Previews</t>
  </si>
  <si>
    <t>Full</t>
  </si>
  <si>
    <t>Band A</t>
  </si>
  <si>
    <t>Band B</t>
  </si>
  <si>
    <t>Band C</t>
  </si>
  <si>
    <t>Subtotal</t>
  </si>
  <si>
    <t>Press Night</t>
  </si>
  <si>
    <t>Mon, Thu mat</t>
  </si>
  <si>
    <t>65+</t>
  </si>
  <si>
    <t>Band A stage 2 (dynamic pricing)</t>
  </si>
  <si>
    <t>Band B stage 2</t>
  </si>
  <si>
    <t>Band C stage 2</t>
  </si>
  <si>
    <t>Tue, Wed, Thu</t>
  </si>
  <si>
    <t>Band A stage 2</t>
  </si>
  <si>
    <t>Fri, Sat mat, Sat</t>
  </si>
  <si>
    <t>Percentage Full/65+ (variable)</t>
  </si>
  <si>
    <t>% of 65+ eligible seats booked at full price (based on previous averages)</t>
  </si>
  <si>
    <t>% of 65+ eligible seats booked at 65+ (based on previous averages)</t>
  </si>
  <si>
    <t>Performances [5 wks]</t>
  </si>
  <si>
    <t>ATP</t>
  </si>
  <si>
    <t>Weighted ATP</t>
  </si>
  <si>
    <t>Total financial capacity</t>
  </si>
  <si>
    <t>Cost of Sale</t>
  </si>
  <si>
    <t>Box Office and Card Fees</t>
  </si>
  <si>
    <t>£1.75 per ticket plus 3.75%</t>
  </si>
  <si>
    <t>GRAND TOTAL (GROSS of VAT)</t>
  </si>
  <si>
    <t>Park200 Total Seater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</si>
</sst>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£-809]0.00"/>
    <numFmt numFmtId="165" formatCode="[$£-809]#,##0.00"/>
    <numFmt numFmtId="166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0"/>
      <name val="Helvetica"/>
      <family val="2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0"/>
      <name val="Helvetica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9" fontId="4" fillId="0" borderId="4" xfId="0" applyNumberFormat="1" applyFont="1" applyBorder="1" applyAlignment="1">
      <alignment horizontal="left"/>
    </xf>
    <xf numFmtId="49" fontId="5" fillId="2" borderId="4" xfId="0" applyNumberFormat="1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/>
    </xf>
    <xf numFmtId="49" fontId="6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9" fontId="3" fillId="3" borderId="4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164" fontId="3" fillId="0" borderId="1" xfId="0" applyNumberFormat="1" applyFont="1" applyBorder="1" applyAlignment="1">
      <alignment horizontal="left"/>
    </xf>
    <xf numFmtId="49" fontId="5" fillId="2" borderId="6" xfId="0" applyNumberFormat="1" applyFont="1" applyFill="1" applyBorder="1" applyAlignment="1">
      <alignment horizontal="center"/>
    </xf>
    <xf numFmtId="9" fontId="5" fillId="3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1" fontId="5" fillId="2" borderId="9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165" fontId="3" fillId="2" borderId="10" xfId="0" applyNumberFormat="1" applyFont="1" applyFill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165" fontId="3" fillId="0" borderId="4" xfId="0" applyNumberFormat="1" applyFont="1" applyBorder="1" applyAlignment="1">
      <alignment horizontal="left"/>
    </xf>
    <xf numFmtId="165" fontId="3" fillId="2" borderId="4" xfId="0" applyNumberFormat="1" applyFont="1" applyFill="1" applyBorder="1" applyAlignment="1">
      <alignment horizontal="left"/>
    </xf>
    <xf numFmtId="164" fontId="5" fillId="2" borderId="4" xfId="0" applyNumberFormat="1" applyFont="1" applyFill="1" applyBorder="1" applyAlignment="1">
      <alignment horizontal="left"/>
    </xf>
    <xf numFmtId="9" fontId="4" fillId="2" borderId="4" xfId="0" applyNumberFormat="1" applyFont="1" applyFill="1" applyBorder="1" applyAlignment="1">
      <alignment horizontal="left"/>
    </xf>
    <xf numFmtId="1" fontId="3" fillId="0" borderId="4" xfId="0" applyNumberFormat="1" applyFont="1" applyBorder="1" applyAlignment="1">
      <alignment horizontal="left"/>
    </xf>
    <xf numFmtId="0" fontId="7" fillId="0" borderId="0" xfId="0" applyFont="1" applyAlignment="1">
      <alignment vertical="top" wrapText="1"/>
    </xf>
    <xf numFmtId="1" fontId="3" fillId="3" borderId="4" xfId="0" applyNumberFormat="1" applyFont="1" applyFill="1" applyBorder="1" applyAlignment="1">
      <alignment horizontal="left"/>
    </xf>
    <xf numFmtId="165" fontId="3" fillId="4" borderId="4" xfId="0" applyNumberFormat="1" applyFont="1" applyFill="1" applyBorder="1" applyAlignment="1">
      <alignment horizontal="left"/>
    </xf>
    <xf numFmtId="164" fontId="3" fillId="4" borderId="4" xfId="0" applyNumberFormat="1" applyFont="1" applyFill="1" applyBorder="1" applyAlignment="1">
      <alignment horizontal="left"/>
    </xf>
    <xf numFmtId="165" fontId="5" fillId="2" borderId="4" xfId="0" applyNumberFormat="1" applyFont="1" applyFill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165" fontId="5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 wrapText="1"/>
    </xf>
    <xf numFmtId="0" fontId="5" fillId="2" borderId="4" xfId="0" applyFont="1" applyFill="1" applyBorder="1" applyAlignment="1">
      <alignment horizontal="left"/>
    </xf>
    <xf numFmtId="9" fontId="5" fillId="3" borderId="4" xfId="0" applyNumberFormat="1" applyFont="1" applyFill="1" applyBorder="1" applyAlignment="1">
      <alignment horizontal="left"/>
    </xf>
    <xf numFmtId="9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  <xf numFmtId="0" fontId="8" fillId="2" borderId="11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vertical="top" wrapText="1"/>
    </xf>
    <xf numFmtId="165" fontId="3" fillId="0" borderId="1" xfId="0" applyNumberFormat="1" applyFont="1" applyBorder="1" applyAlignment="1">
      <alignment horizontal="left"/>
    </xf>
    <xf numFmtId="166" fontId="9" fillId="0" borderId="13" xfId="0" applyNumberFormat="1" applyFont="1" applyBorder="1" applyAlignment="1">
      <alignment vertical="top" wrapText="1"/>
    </xf>
    <xf numFmtId="166" fontId="9" fillId="0" borderId="1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left"/>
    </xf>
    <xf numFmtId="166" fontId="9" fillId="0" borderId="16" xfId="0" applyNumberFormat="1" applyFont="1" applyBorder="1" applyAlignment="1">
      <alignment vertical="top" wrapText="1"/>
    </xf>
    <xf numFmtId="0" fontId="9" fillId="0" borderId="17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left"/>
    </xf>
    <xf numFmtId="1" fontId="3" fillId="0" borderId="19" xfId="0" applyNumberFormat="1" applyFont="1" applyBorder="1" applyAlignment="1">
      <alignment horizontal="left"/>
    </xf>
    <xf numFmtId="2" fontId="3" fillId="0" borderId="20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65" fontId="5" fillId="0" borderId="10" xfId="0" applyNumberFormat="1" applyFont="1" applyBorder="1" applyAlignment="1">
      <alignment horizontal="left"/>
    </xf>
    <xf numFmtId="165" fontId="3" fillId="0" borderId="6" xfId="0" applyNumberFormat="1" applyFont="1" applyBorder="1" applyAlignment="1">
      <alignment horizontal="left"/>
    </xf>
    <xf numFmtId="0" fontId="0" fillId="0" borderId="20" xfId="0" applyBorder="1"/>
    <xf numFmtId="0" fontId="3" fillId="0" borderId="6" xfId="0" applyFont="1" applyBorder="1"/>
    <xf numFmtId="165" fontId="3" fillId="0" borderId="21" xfId="0" applyNumberFormat="1" applyFont="1" applyBorder="1" applyAlignment="1">
      <alignment horizontal="left"/>
    </xf>
    <xf numFmtId="0" fontId="3" fillId="0" borderId="20" xfId="0" applyFont="1" applyBorder="1"/>
    <xf numFmtId="165" fontId="5" fillId="0" borderId="2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25AC4-9D73-470C-9097-F102B1B59CFD}">
  <dimension ref="A1:H62"/>
  <sheetViews>
    <sheetView tabSelected="1" workbookViewId="0">
      <selection activeCell="B13" sqref="B13"/>
    </sheetView>
  </sheetViews>
  <sheetFormatPr defaultRowHeight="15" x14ac:dyDescent="0.25"/>
  <cols>
    <col min="1" max="1" width="52.140625" customWidth="1"/>
    <col min="2" max="2" width="22.140625" customWidth="1"/>
    <col min="3" max="3" width="17.5703125" customWidth="1"/>
    <col min="4" max="4" width="17.85546875" customWidth="1"/>
    <col min="5" max="5" width="16.140625" bestFit="1" customWidth="1"/>
    <col min="6" max="6" width="14.5703125" customWidth="1"/>
    <col min="7" max="7" width="12.7109375" customWidth="1"/>
    <col min="8" max="8" width="15.28515625" customWidth="1"/>
  </cols>
  <sheetData>
    <row r="1" spans="1:8" ht="23.25" x14ac:dyDescent="0.35">
      <c r="A1" s="1" t="s">
        <v>34</v>
      </c>
      <c r="B1" s="2"/>
      <c r="C1" s="2"/>
      <c r="D1" s="2"/>
      <c r="E1" s="2"/>
      <c r="F1" s="3"/>
      <c r="G1" s="4"/>
      <c r="H1" s="4"/>
    </row>
    <row r="2" spans="1:8" ht="15.75" x14ac:dyDescent="0.25">
      <c r="A2" s="5"/>
      <c r="B2" s="5"/>
      <c r="C2" s="6"/>
      <c r="D2" s="6"/>
      <c r="E2" s="5"/>
      <c r="F2" s="7"/>
      <c r="G2" s="4"/>
      <c r="H2" s="4"/>
    </row>
    <row r="3" spans="1:8" ht="15.75" x14ac:dyDescent="0.25">
      <c r="A3" s="8" t="s">
        <v>0</v>
      </c>
      <c r="B3" s="9">
        <v>197</v>
      </c>
      <c r="C3" s="6"/>
      <c r="D3" s="6"/>
      <c r="E3" s="6"/>
      <c r="F3" s="6"/>
      <c r="G3" s="4"/>
      <c r="H3" s="4"/>
    </row>
    <row r="4" spans="1:8" ht="15.75" x14ac:dyDescent="0.25">
      <c r="A4" s="10" t="s">
        <v>1</v>
      </c>
      <c r="B4" s="5">
        <v>124</v>
      </c>
      <c r="C4" s="5"/>
      <c r="D4" s="5"/>
      <c r="E4" s="5"/>
      <c r="F4" s="7"/>
      <c r="G4" s="4"/>
      <c r="H4" s="4"/>
    </row>
    <row r="5" spans="1:8" ht="15.75" x14ac:dyDescent="0.25">
      <c r="A5" s="10" t="s">
        <v>2</v>
      </c>
      <c r="B5" s="5">
        <v>73</v>
      </c>
      <c r="C5" s="5"/>
      <c r="D5" s="5"/>
      <c r="E5" s="5"/>
      <c r="F5" s="7"/>
      <c r="G5" s="4"/>
      <c r="H5" s="4"/>
    </row>
    <row r="6" spans="1:8" ht="15.75" x14ac:dyDescent="0.25">
      <c r="A6" s="11"/>
      <c r="B6" s="5"/>
      <c r="C6" s="5"/>
      <c r="D6" s="5"/>
      <c r="E6" s="12"/>
      <c r="F6" s="13"/>
      <c r="G6" s="4"/>
      <c r="H6" s="4"/>
    </row>
    <row r="7" spans="1:8" ht="15.75" x14ac:dyDescent="0.25">
      <c r="A7" s="8" t="s">
        <v>3</v>
      </c>
      <c r="B7" s="14">
        <v>0.3</v>
      </c>
      <c r="C7" s="15"/>
      <c r="D7" s="16"/>
      <c r="E7" s="17"/>
      <c r="F7" s="13" t="s">
        <v>4</v>
      </c>
      <c r="G7" s="4"/>
      <c r="H7" s="4"/>
    </row>
    <row r="8" spans="1:8" ht="16.5" thickBot="1" x14ac:dyDescent="0.3">
      <c r="A8" s="5"/>
      <c r="B8" s="5"/>
      <c r="C8" s="18"/>
      <c r="D8" s="16"/>
      <c r="E8" s="19" t="s">
        <v>5</v>
      </c>
      <c r="F8" s="20">
        <v>0.7</v>
      </c>
      <c r="G8" s="4"/>
      <c r="H8" s="4"/>
    </row>
    <row r="9" spans="1:8" ht="16.5" thickBot="1" x14ac:dyDescent="0.3">
      <c r="A9" s="21" t="s">
        <v>6</v>
      </c>
      <c r="B9" s="22"/>
      <c r="C9" s="22"/>
      <c r="D9" s="23" t="s">
        <v>7</v>
      </c>
      <c r="E9" s="24">
        <f>SUM(B3*B49)</f>
        <v>7289</v>
      </c>
      <c r="F9" s="25">
        <f>E9*F8</f>
        <v>5102.2999999999993</v>
      </c>
      <c r="G9" s="4"/>
      <c r="H9" s="4"/>
    </row>
    <row r="10" spans="1:8" ht="15.75" x14ac:dyDescent="0.25">
      <c r="A10" s="8" t="s">
        <v>8</v>
      </c>
      <c r="B10" s="26"/>
      <c r="C10" s="27" t="s">
        <v>9</v>
      </c>
      <c r="D10" s="28"/>
      <c r="E10" s="29"/>
      <c r="F10" s="29"/>
      <c r="G10" s="4"/>
      <c r="H10" s="4"/>
    </row>
    <row r="11" spans="1:8" ht="15.75" x14ac:dyDescent="0.25">
      <c r="A11" s="10" t="s">
        <v>10</v>
      </c>
      <c r="B11" s="5">
        <v>104</v>
      </c>
      <c r="C11" s="30">
        <v>28</v>
      </c>
      <c r="D11" s="5"/>
      <c r="E11" s="31">
        <f>C11*B11</f>
        <v>2912</v>
      </c>
      <c r="F11" s="31">
        <f>E11*F8</f>
        <v>2038.3999999999999</v>
      </c>
      <c r="G11" s="4"/>
      <c r="H11" s="4"/>
    </row>
    <row r="12" spans="1:8" ht="15.75" x14ac:dyDescent="0.25">
      <c r="A12" s="10" t="s">
        <v>11</v>
      </c>
      <c r="B12" s="5">
        <v>67</v>
      </c>
      <c r="C12" s="30">
        <v>23.5</v>
      </c>
      <c r="D12" s="5"/>
      <c r="E12" s="31">
        <f>C12*B12</f>
        <v>1574.5</v>
      </c>
      <c r="F12" s="31">
        <f>E12*F8</f>
        <v>1102.1499999999999</v>
      </c>
      <c r="G12" s="4"/>
      <c r="H12" s="4"/>
    </row>
    <row r="13" spans="1:8" ht="15.75" x14ac:dyDescent="0.25">
      <c r="A13" s="10" t="s">
        <v>12</v>
      </c>
      <c r="B13" s="5">
        <v>26</v>
      </c>
      <c r="C13" s="30">
        <v>13.5</v>
      </c>
      <c r="D13" s="5"/>
      <c r="E13" s="31">
        <f>C13*B13</f>
        <v>351</v>
      </c>
      <c r="F13" s="31">
        <f>E13*F8</f>
        <v>245.7</v>
      </c>
      <c r="G13" s="4"/>
      <c r="H13" s="4"/>
    </row>
    <row r="14" spans="1:8" ht="15.75" x14ac:dyDescent="0.25">
      <c r="A14" s="10" t="s">
        <v>13</v>
      </c>
      <c r="B14" s="26"/>
      <c r="C14" s="26"/>
      <c r="D14" s="26"/>
      <c r="E14" s="32">
        <f>SUM(E11:E13)</f>
        <v>4837.5</v>
      </c>
      <c r="F14" s="33">
        <f>SUM(F11:F13)</f>
        <v>3386.2499999999995</v>
      </c>
      <c r="G14" s="4"/>
      <c r="H14" s="4"/>
    </row>
    <row r="15" spans="1:8" ht="15.75" x14ac:dyDescent="0.25">
      <c r="A15" s="5"/>
      <c r="B15" s="5"/>
      <c r="C15" s="5"/>
      <c r="D15" s="5"/>
      <c r="E15" s="31"/>
      <c r="F15" s="30"/>
      <c r="G15" s="4"/>
      <c r="H15" s="4"/>
    </row>
    <row r="16" spans="1:8" ht="15.75" x14ac:dyDescent="0.25">
      <c r="A16" s="8" t="s">
        <v>14</v>
      </c>
      <c r="B16" s="5">
        <v>197</v>
      </c>
      <c r="C16" s="30">
        <v>0</v>
      </c>
      <c r="D16" s="5"/>
      <c r="E16" s="31">
        <f>B16*C16</f>
        <v>0</v>
      </c>
      <c r="F16" s="30">
        <f>E16*F8</f>
        <v>0</v>
      </c>
      <c r="G16" s="4"/>
      <c r="H16" s="4"/>
    </row>
    <row r="17" spans="1:8" ht="15.75" x14ac:dyDescent="0.25">
      <c r="A17" s="10" t="s">
        <v>13</v>
      </c>
      <c r="B17" s="26"/>
      <c r="C17" s="26"/>
      <c r="D17" s="26"/>
      <c r="E17" s="32">
        <f>E16</f>
        <v>0</v>
      </c>
      <c r="F17" s="33">
        <f>F16</f>
        <v>0</v>
      </c>
      <c r="G17" s="4"/>
      <c r="H17" s="4"/>
    </row>
    <row r="18" spans="1:8" ht="15.75" x14ac:dyDescent="0.25">
      <c r="A18" s="5"/>
      <c r="B18" s="5"/>
      <c r="C18" s="5"/>
      <c r="D18" s="5"/>
      <c r="E18" s="5"/>
      <c r="F18" s="7"/>
      <c r="G18" s="4"/>
      <c r="H18" s="4"/>
    </row>
    <row r="19" spans="1:8" ht="15.75" x14ac:dyDescent="0.25">
      <c r="A19" s="8" t="s">
        <v>15</v>
      </c>
      <c r="B19" s="26"/>
      <c r="C19" s="10" t="s">
        <v>9</v>
      </c>
      <c r="D19" s="10" t="s">
        <v>16</v>
      </c>
      <c r="E19" s="26"/>
      <c r="F19" s="34"/>
      <c r="G19" s="4"/>
      <c r="H19" s="4"/>
    </row>
    <row r="20" spans="1:8" ht="15.75" x14ac:dyDescent="0.25">
      <c r="A20" s="10" t="s">
        <v>10</v>
      </c>
      <c r="B20" s="35">
        <f>B11-B21</f>
        <v>73</v>
      </c>
      <c r="C20" s="31">
        <v>33.5</v>
      </c>
      <c r="D20" s="31"/>
      <c r="E20" s="31">
        <f>C20*B20</f>
        <v>2445.5</v>
      </c>
      <c r="F20" s="31">
        <f>E20*F8</f>
        <v>1711.85</v>
      </c>
      <c r="G20" s="4"/>
      <c r="H20" s="36"/>
    </row>
    <row r="21" spans="1:8" ht="15.75" x14ac:dyDescent="0.25">
      <c r="A21" s="10" t="s">
        <v>17</v>
      </c>
      <c r="B21" s="37">
        <f>ROUNDDOWN(B11*B7,0)</f>
        <v>31</v>
      </c>
      <c r="C21" s="38">
        <v>38</v>
      </c>
      <c r="D21" s="31"/>
      <c r="E21" s="31">
        <f>C21*B21</f>
        <v>1178</v>
      </c>
      <c r="F21" s="31">
        <f>E21*F8</f>
        <v>824.59999999999991</v>
      </c>
      <c r="G21" s="4"/>
      <c r="H21" s="36"/>
    </row>
    <row r="22" spans="1:8" ht="15.75" x14ac:dyDescent="0.25">
      <c r="A22" s="10" t="s">
        <v>11</v>
      </c>
      <c r="B22" s="35">
        <f>B12-B23</f>
        <v>47</v>
      </c>
      <c r="C22" s="31">
        <v>28</v>
      </c>
      <c r="D22" s="31">
        <v>23.5</v>
      </c>
      <c r="E22" s="31">
        <f>((C22*B22)*C47)+((D22*B22)*D47)</f>
        <v>1288.5050000000001</v>
      </c>
      <c r="F22" s="31">
        <f>E22*F8</f>
        <v>901.95349999999996</v>
      </c>
      <c r="G22" s="4"/>
      <c r="H22" s="36"/>
    </row>
    <row r="23" spans="1:8" ht="15.75" x14ac:dyDescent="0.25">
      <c r="A23" s="10" t="s">
        <v>18</v>
      </c>
      <c r="B23" s="37">
        <f>ROUNDDOWN(B12*B7,0)</f>
        <v>20</v>
      </c>
      <c r="C23" s="38">
        <v>32</v>
      </c>
      <c r="D23" s="38">
        <v>25</v>
      </c>
      <c r="E23" s="31">
        <f>((C23*B23)*C47)+((D23*B23)*D47)</f>
        <v>621.79999999999995</v>
      </c>
      <c r="F23" s="31">
        <f>E23*F8</f>
        <v>435.25999999999993</v>
      </c>
      <c r="G23" s="4"/>
      <c r="H23" s="36"/>
    </row>
    <row r="24" spans="1:8" ht="15.75" x14ac:dyDescent="0.25">
      <c r="A24" s="10" t="s">
        <v>12</v>
      </c>
      <c r="B24" s="35">
        <f>B13-B25</f>
        <v>19</v>
      </c>
      <c r="C24" s="30">
        <v>21</v>
      </c>
      <c r="D24" s="31">
        <v>18.5</v>
      </c>
      <c r="E24" s="31">
        <f>((C24*B24)*C47)+((D24*B24)*D47)</f>
        <v>392.82499999999999</v>
      </c>
      <c r="F24" s="31">
        <f>E24*F8</f>
        <v>274.97749999999996</v>
      </c>
      <c r="G24" s="4"/>
      <c r="H24" s="36"/>
    </row>
    <row r="25" spans="1:8" ht="15.75" x14ac:dyDescent="0.25">
      <c r="A25" s="10" t="s">
        <v>19</v>
      </c>
      <c r="B25" s="37">
        <f>ROUNDDOWN(B13*B7,0)</f>
        <v>7</v>
      </c>
      <c r="C25" s="39">
        <v>23.5</v>
      </c>
      <c r="D25" s="38">
        <v>22.5</v>
      </c>
      <c r="E25" s="31">
        <f>((C25*B25)*C47)+((D25*B25)*D47)</f>
        <v>163.59</v>
      </c>
      <c r="F25" s="31">
        <f>E25*F8</f>
        <v>114.51299999999999</v>
      </c>
      <c r="G25" s="4"/>
      <c r="H25" s="36"/>
    </row>
    <row r="26" spans="1:8" ht="15.75" x14ac:dyDescent="0.25">
      <c r="A26" s="10" t="s">
        <v>13</v>
      </c>
      <c r="B26" s="26"/>
      <c r="C26" s="27"/>
      <c r="D26" s="27"/>
      <c r="E26" s="32">
        <f>SUM(E20:E25)</f>
        <v>6090.22</v>
      </c>
      <c r="F26" s="40">
        <f>SUM(F20:F25)</f>
        <v>4263.1539999999995</v>
      </c>
      <c r="G26" s="4"/>
      <c r="H26" s="36"/>
    </row>
    <row r="27" spans="1:8" ht="15.75" x14ac:dyDescent="0.25">
      <c r="A27" s="5"/>
      <c r="B27" s="5"/>
      <c r="C27" s="5"/>
      <c r="D27" s="5"/>
      <c r="E27" s="31"/>
      <c r="F27" s="5"/>
      <c r="G27" s="4"/>
      <c r="H27" s="36"/>
    </row>
    <row r="28" spans="1:8" ht="15.75" x14ac:dyDescent="0.25">
      <c r="A28" s="8" t="s">
        <v>20</v>
      </c>
      <c r="B28" s="26"/>
      <c r="C28" s="10" t="s">
        <v>9</v>
      </c>
      <c r="D28" s="10"/>
      <c r="E28" s="32"/>
      <c r="F28" s="26"/>
      <c r="G28" s="4"/>
      <c r="H28" s="36"/>
    </row>
    <row r="29" spans="1:8" ht="15.75" x14ac:dyDescent="0.25">
      <c r="A29" s="10" t="s">
        <v>10</v>
      </c>
      <c r="B29" s="35">
        <f>B11-B30</f>
        <v>73</v>
      </c>
      <c r="C29" s="30">
        <v>38</v>
      </c>
      <c r="D29" s="30"/>
      <c r="E29" s="31">
        <f t="shared" ref="E29:E34" si="0">C29*B29</f>
        <v>2774</v>
      </c>
      <c r="F29" s="31">
        <f>E29*F8</f>
        <v>1941.8</v>
      </c>
      <c r="G29" s="4"/>
      <c r="H29" s="36"/>
    </row>
    <row r="30" spans="1:8" ht="15.75" x14ac:dyDescent="0.25">
      <c r="A30" s="10" t="s">
        <v>21</v>
      </c>
      <c r="B30" s="37">
        <f>ROUNDDOWN(B11*B7,0)</f>
        <v>31</v>
      </c>
      <c r="C30" s="39">
        <v>43</v>
      </c>
      <c r="D30" s="30"/>
      <c r="E30" s="31">
        <f t="shared" si="0"/>
        <v>1333</v>
      </c>
      <c r="F30" s="31">
        <f>E30*F8</f>
        <v>933.09999999999991</v>
      </c>
      <c r="G30" s="4"/>
      <c r="H30" s="36"/>
    </row>
    <row r="31" spans="1:8" ht="15.75" x14ac:dyDescent="0.25">
      <c r="A31" s="10" t="s">
        <v>11</v>
      </c>
      <c r="B31" s="35">
        <f>B12-B32</f>
        <v>47</v>
      </c>
      <c r="C31" s="30">
        <v>31</v>
      </c>
      <c r="D31" s="30"/>
      <c r="E31" s="31">
        <f t="shared" si="0"/>
        <v>1457</v>
      </c>
      <c r="F31" s="31">
        <f>E31*F8</f>
        <v>1019.9</v>
      </c>
      <c r="G31" s="4"/>
      <c r="H31" s="36"/>
    </row>
    <row r="32" spans="1:8" ht="15.75" x14ac:dyDescent="0.25">
      <c r="A32" s="10" t="s">
        <v>18</v>
      </c>
      <c r="B32" s="37">
        <f>ROUNDDOWN(B12*B7,0)</f>
        <v>20</v>
      </c>
      <c r="C32" s="39">
        <v>34</v>
      </c>
      <c r="D32" s="30"/>
      <c r="E32" s="31">
        <f t="shared" si="0"/>
        <v>680</v>
      </c>
      <c r="F32" s="31">
        <f>E32*F8</f>
        <v>475.99999999999994</v>
      </c>
      <c r="G32" s="4"/>
      <c r="H32" s="36"/>
    </row>
    <row r="33" spans="1:8" ht="15.75" x14ac:dyDescent="0.25">
      <c r="A33" s="10" t="s">
        <v>12</v>
      </c>
      <c r="B33" s="35">
        <f>B13-B34</f>
        <v>19</v>
      </c>
      <c r="C33" s="30">
        <v>23.5</v>
      </c>
      <c r="D33" s="30"/>
      <c r="E33" s="31">
        <f t="shared" si="0"/>
        <v>446.5</v>
      </c>
      <c r="F33" s="31">
        <f>E33*F8</f>
        <v>312.54999999999995</v>
      </c>
      <c r="G33" s="4"/>
      <c r="H33" s="36"/>
    </row>
    <row r="34" spans="1:8" ht="15.75" x14ac:dyDescent="0.25">
      <c r="A34" s="10" t="s">
        <v>19</v>
      </c>
      <c r="B34" s="37">
        <f>ROUNDDOWN(B13*B7,0)</f>
        <v>7</v>
      </c>
      <c r="C34" s="39">
        <v>26</v>
      </c>
      <c r="D34" s="30"/>
      <c r="E34" s="31">
        <f t="shared" si="0"/>
        <v>182</v>
      </c>
      <c r="F34" s="31">
        <f>E34*F8</f>
        <v>127.39999999999999</v>
      </c>
      <c r="G34" s="4"/>
      <c r="H34" s="36"/>
    </row>
    <row r="35" spans="1:8" ht="15.75" x14ac:dyDescent="0.25">
      <c r="A35" s="10" t="s">
        <v>13</v>
      </c>
      <c r="B35" s="26"/>
      <c r="C35" s="27"/>
      <c r="D35" s="27"/>
      <c r="E35" s="32">
        <f>SUM(E29:E34)</f>
        <v>6872.5</v>
      </c>
      <c r="F35" s="40">
        <f>SUM(F29:F34)</f>
        <v>4810.7499999999991</v>
      </c>
      <c r="G35" s="4"/>
      <c r="H35" s="36"/>
    </row>
    <row r="36" spans="1:8" ht="15.75" x14ac:dyDescent="0.25">
      <c r="A36" s="41"/>
      <c r="B36" s="5"/>
      <c r="C36" s="30"/>
      <c r="D36" s="30"/>
      <c r="E36" s="31"/>
      <c r="F36" s="42"/>
      <c r="G36" s="4"/>
      <c r="H36" s="36"/>
    </row>
    <row r="37" spans="1:8" ht="15.75" x14ac:dyDescent="0.25">
      <c r="A37" s="8" t="s">
        <v>22</v>
      </c>
      <c r="B37" s="26"/>
      <c r="C37" s="10" t="s">
        <v>9</v>
      </c>
      <c r="D37" s="10"/>
      <c r="E37" s="32"/>
      <c r="F37" s="26"/>
      <c r="G37" s="4"/>
      <c r="H37" s="36"/>
    </row>
    <row r="38" spans="1:8" ht="15.75" x14ac:dyDescent="0.25">
      <c r="A38" s="10" t="s">
        <v>10</v>
      </c>
      <c r="B38" s="35">
        <f>B11-B39</f>
        <v>73</v>
      </c>
      <c r="C38" s="30">
        <v>41</v>
      </c>
      <c r="D38" s="31"/>
      <c r="E38" s="31">
        <f t="shared" ref="E38:E43" si="1">C38*B38</f>
        <v>2993</v>
      </c>
      <c r="F38" s="31">
        <f>E38*F8</f>
        <v>2095.1</v>
      </c>
      <c r="G38" s="4"/>
      <c r="H38" s="36"/>
    </row>
    <row r="39" spans="1:8" ht="15.75" x14ac:dyDescent="0.25">
      <c r="A39" s="10" t="s">
        <v>21</v>
      </c>
      <c r="B39" s="37">
        <f>ROUNDDOWN(B11*B7,0)</f>
        <v>31</v>
      </c>
      <c r="C39" s="39">
        <v>46</v>
      </c>
      <c r="D39" s="31"/>
      <c r="E39" s="31">
        <f t="shared" si="1"/>
        <v>1426</v>
      </c>
      <c r="F39" s="31">
        <f>E39*F8</f>
        <v>998.19999999999993</v>
      </c>
      <c r="G39" s="4"/>
      <c r="H39" s="36"/>
    </row>
    <row r="40" spans="1:8" ht="15.75" x14ac:dyDescent="0.25">
      <c r="A40" s="10" t="s">
        <v>11</v>
      </c>
      <c r="B40" s="35">
        <f>B12-B41</f>
        <v>47</v>
      </c>
      <c r="C40" s="30">
        <v>34.5</v>
      </c>
      <c r="D40" s="31"/>
      <c r="E40" s="31">
        <f t="shared" si="1"/>
        <v>1621.5</v>
      </c>
      <c r="F40" s="31">
        <f>E40*F8</f>
        <v>1135.05</v>
      </c>
      <c r="G40" s="4"/>
      <c r="H40" s="36"/>
    </row>
    <row r="41" spans="1:8" ht="15.75" x14ac:dyDescent="0.25">
      <c r="A41" s="10" t="s">
        <v>18</v>
      </c>
      <c r="B41" s="37">
        <f>ROUNDDOWN(B12*B7,0)</f>
        <v>20</v>
      </c>
      <c r="C41" s="39">
        <v>37.5</v>
      </c>
      <c r="D41" s="31"/>
      <c r="E41" s="31">
        <f t="shared" si="1"/>
        <v>750</v>
      </c>
      <c r="F41" s="31">
        <f>E41*F8</f>
        <v>525</v>
      </c>
      <c r="G41" s="4"/>
      <c r="H41" s="36"/>
    </row>
    <row r="42" spans="1:8" ht="15.75" x14ac:dyDescent="0.25">
      <c r="A42" s="10" t="s">
        <v>12</v>
      </c>
      <c r="B42" s="35">
        <f>B13-B43</f>
        <v>19</v>
      </c>
      <c r="C42" s="30">
        <v>23.5</v>
      </c>
      <c r="D42" s="31"/>
      <c r="E42" s="31">
        <f t="shared" si="1"/>
        <v>446.5</v>
      </c>
      <c r="F42" s="31">
        <f>E42*F8</f>
        <v>312.54999999999995</v>
      </c>
      <c r="G42" s="4"/>
      <c r="H42" s="36"/>
    </row>
    <row r="43" spans="1:8" ht="15.75" x14ac:dyDescent="0.25">
      <c r="A43" s="10" t="s">
        <v>19</v>
      </c>
      <c r="B43" s="37">
        <f>ROUNDDOWN(B13*B7,0)</f>
        <v>7</v>
      </c>
      <c r="C43" s="39">
        <v>26</v>
      </c>
      <c r="D43" s="31"/>
      <c r="E43" s="31">
        <f t="shared" si="1"/>
        <v>182</v>
      </c>
      <c r="F43" s="31">
        <f>E43*F8</f>
        <v>127.39999999999999</v>
      </c>
      <c r="G43" s="4"/>
      <c r="H43" s="36"/>
    </row>
    <row r="44" spans="1:8" ht="15.75" x14ac:dyDescent="0.25">
      <c r="A44" s="10" t="s">
        <v>13</v>
      </c>
      <c r="B44" s="26"/>
      <c r="C44" s="27"/>
      <c r="D44" s="27"/>
      <c r="E44" s="32">
        <f>SUM(E38:E43)</f>
        <v>7419</v>
      </c>
      <c r="F44" s="40">
        <f>SUM(F38:F43)</f>
        <v>5193.2999999999993</v>
      </c>
      <c r="G44" s="4"/>
      <c r="H44" s="36"/>
    </row>
    <row r="45" spans="1:8" ht="15.75" x14ac:dyDescent="0.25">
      <c r="A45" s="43"/>
      <c r="B45" s="6"/>
      <c r="C45" s="5"/>
      <c r="D45" s="5"/>
      <c r="E45" s="5"/>
      <c r="F45" s="5"/>
      <c r="G45" s="4"/>
      <c r="H45" s="36"/>
    </row>
    <row r="46" spans="1:8" ht="78.75" x14ac:dyDescent="0.25">
      <c r="A46" s="8" t="s">
        <v>23</v>
      </c>
      <c r="B46" s="6"/>
      <c r="C46" s="44" t="s">
        <v>24</v>
      </c>
      <c r="D46" s="44" t="s">
        <v>25</v>
      </c>
      <c r="E46" s="5"/>
      <c r="F46" s="5"/>
      <c r="G46" s="4"/>
      <c r="H46" s="36"/>
    </row>
    <row r="47" spans="1:8" ht="15.75" x14ac:dyDescent="0.25">
      <c r="A47" s="45"/>
      <c r="B47" s="6"/>
      <c r="C47" s="46">
        <v>0.87</v>
      </c>
      <c r="D47" s="47">
        <f>100%-C47</f>
        <v>0.13</v>
      </c>
      <c r="E47" s="5"/>
      <c r="F47" s="5"/>
      <c r="G47" s="4"/>
      <c r="H47" s="36"/>
    </row>
    <row r="48" spans="1:8" ht="16.5" thickBot="1" x14ac:dyDescent="0.3">
      <c r="A48" s="5"/>
      <c r="B48" s="5"/>
      <c r="C48" s="48"/>
      <c r="D48" s="48"/>
      <c r="E48" s="48"/>
      <c r="F48" s="5"/>
      <c r="G48" s="4"/>
      <c r="H48" s="36"/>
    </row>
    <row r="49" spans="1:8" ht="15.75" x14ac:dyDescent="0.25">
      <c r="A49" s="49" t="s">
        <v>26</v>
      </c>
      <c r="B49" s="43">
        <f>SUM(B50:B54)</f>
        <v>37</v>
      </c>
      <c r="C49" s="5"/>
      <c r="D49" s="5"/>
      <c r="E49" s="5"/>
      <c r="F49" s="15"/>
      <c r="G49" s="50" t="s">
        <v>27</v>
      </c>
      <c r="H49" s="51" t="s">
        <v>28</v>
      </c>
    </row>
    <row r="50" spans="1:8" ht="15.75" x14ac:dyDescent="0.25">
      <c r="A50" s="41" t="s">
        <v>8</v>
      </c>
      <c r="B50" s="5">
        <v>3</v>
      </c>
      <c r="C50" s="5"/>
      <c r="D50" s="5"/>
      <c r="E50" s="31">
        <f>E14*B50</f>
        <v>14512.5</v>
      </c>
      <c r="F50" s="52">
        <f>E50*F8</f>
        <v>10158.75</v>
      </c>
      <c r="G50" s="53">
        <f>SUM(E50/B50)/B3</f>
        <v>24.555837563451778</v>
      </c>
      <c r="H50" s="54">
        <f>((B54*G54)+(G53*B53)+(G52*B52)+(G50*B50))/B49</f>
        <v>33.4037645767595</v>
      </c>
    </row>
    <row r="51" spans="1:8" ht="15.75" x14ac:dyDescent="0.25">
      <c r="A51" s="41" t="s">
        <v>14</v>
      </c>
      <c r="B51" s="5">
        <v>1</v>
      </c>
      <c r="C51" s="5"/>
      <c r="D51" s="5"/>
      <c r="E51" s="31">
        <f>B51*E17</f>
        <v>0</v>
      </c>
      <c r="F51" s="52">
        <f>E51*F8</f>
        <v>0</v>
      </c>
      <c r="G51" s="53">
        <f>(E51/B51)/B3</f>
        <v>0</v>
      </c>
      <c r="H51" s="55"/>
    </row>
    <row r="52" spans="1:8" ht="15.75" x14ac:dyDescent="0.25">
      <c r="A52" s="41" t="s">
        <v>15</v>
      </c>
      <c r="B52" s="5">
        <v>7</v>
      </c>
      <c r="C52" s="5"/>
      <c r="D52" s="5"/>
      <c r="E52" s="31">
        <f>E26*B52</f>
        <v>42631.54</v>
      </c>
      <c r="F52" s="52">
        <f>E52*F8</f>
        <v>29842.077999999998</v>
      </c>
      <c r="G52" s="53">
        <f>(E52/B52)/B3</f>
        <v>30.914822335025381</v>
      </c>
      <c r="H52" s="55"/>
    </row>
    <row r="53" spans="1:8" ht="15.75" x14ac:dyDescent="0.25">
      <c r="A53" s="41" t="s">
        <v>20</v>
      </c>
      <c r="B53" s="5">
        <v>12</v>
      </c>
      <c r="C53" s="5"/>
      <c r="D53" s="5"/>
      <c r="E53" s="31">
        <f>E35*B53</f>
        <v>82470</v>
      </c>
      <c r="F53" s="52">
        <f>E53*F8</f>
        <v>57728.999999999993</v>
      </c>
      <c r="G53" s="53">
        <f>(E53/B53)/B3</f>
        <v>34.885786802030459</v>
      </c>
      <c r="H53" s="55"/>
    </row>
    <row r="54" spans="1:8" ht="16.5" thickBot="1" x14ac:dyDescent="0.3">
      <c r="A54" s="41" t="s">
        <v>22</v>
      </c>
      <c r="B54" s="5">
        <v>14</v>
      </c>
      <c r="C54" s="5"/>
      <c r="D54" s="5"/>
      <c r="E54" s="31">
        <f>E44*B54</f>
        <v>103866</v>
      </c>
      <c r="F54" s="56">
        <f>E54*F8</f>
        <v>72706.2</v>
      </c>
      <c r="G54" s="57">
        <f>(E54/B54)/B3</f>
        <v>37.659898477157363</v>
      </c>
      <c r="H54" s="58"/>
    </row>
    <row r="55" spans="1:8" ht="15.75" x14ac:dyDescent="0.25">
      <c r="A55" s="59"/>
      <c r="B55" s="48"/>
      <c r="C55" s="48"/>
      <c r="D55" s="48"/>
      <c r="E55" s="60"/>
      <c r="F55" s="61"/>
      <c r="G55" s="4"/>
      <c r="H55" s="4"/>
    </row>
    <row r="56" spans="1:8" ht="15.75" x14ac:dyDescent="0.25">
      <c r="A56" s="62" t="s">
        <v>29</v>
      </c>
      <c r="B56" s="48"/>
      <c r="C56" s="48"/>
      <c r="D56" s="48"/>
      <c r="E56" s="63">
        <f>SUM(E50:E54)</f>
        <v>243480.04</v>
      </c>
      <c r="F56" s="63">
        <f>SUM(F50:F54)</f>
        <v>170436.02799999999</v>
      </c>
      <c r="G56" s="4"/>
      <c r="H56" s="4"/>
    </row>
    <row r="57" spans="1:8" ht="15.75" x14ac:dyDescent="0.25">
      <c r="A57" s="5"/>
      <c r="B57" s="5"/>
      <c r="C57" s="5"/>
      <c r="D57" s="5"/>
      <c r="E57" s="42"/>
      <c r="F57" s="31"/>
      <c r="G57" s="4"/>
      <c r="H57" s="4"/>
    </row>
    <row r="58" spans="1:8" ht="15.75" x14ac:dyDescent="0.25">
      <c r="A58" s="49" t="s">
        <v>30</v>
      </c>
      <c r="B58" s="5"/>
      <c r="C58" s="5"/>
      <c r="D58" s="5"/>
      <c r="E58" s="31"/>
      <c r="F58" s="31"/>
      <c r="G58" s="4"/>
      <c r="H58" s="4"/>
    </row>
    <row r="59" spans="1:8" ht="15.75" x14ac:dyDescent="0.25">
      <c r="A59" s="49" t="s">
        <v>31</v>
      </c>
      <c r="B59" s="5"/>
      <c r="C59" s="5"/>
      <c r="D59" s="5"/>
      <c r="E59" s="64">
        <f>-1*((0.0375*(E50+E51+E52+E53+E54))+(1.75*(B3*B49)))</f>
        <v>-21886.251499999998</v>
      </c>
      <c r="F59" s="64">
        <f>E59*F8</f>
        <v>-15320.376049999997</v>
      </c>
      <c r="G59" s="4"/>
      <c r="H59" s="4"/>
    </row>
    <row r="60" spans="1:8" ht="15.75" x14ac:dyDescent="0.25">
      <c r="A60" s="41" t="s">
        <v>32</v>
      </c>
      <c r="B60" s="5"/>
      <c r="C60" s="5"/>
      <c r="D60" s="15"/>
      <c r="E60" s="65"/>
      <c r="F60" s="65"/>
      <c r="G60" s="4"/>
      <c r="H60" s="4"/>
    </row>
    <row r="61" spans="1:8" ht="15.75" x14ac:dyDescent="0.25">
      <c r="A61" s="6"/>
      <c r="B61" s="5"/>
      <c r="C61" s="5"/>
      <c r="D61" s="66"/>
      <c r="E61" s="67"/>
      <c r="F61" s="67"/>
      <c r="G61" s="4"/>
      <c r="H61" s="4"/>
    </row>
    <row r="62" spans="1:8" ht="15.75" x14ac:dyDescent="0.25">
      <c r="A62" s="49" t="s">
        <v>33</v>
      </c>
      <c r="B62" s="5"/>
      <c r="C62" s="15"/>
      <c r="D62" s="68"/>
      <c r="E62" s="69">
        <f>E56+E59</f>
        <v>221593.78850000002</v>
      </c>
      <c r="F62" s="69">
        <f>F56+F59</f>
        <v>155115.65195</v>
      </c>
      <c r="G62" s="4"/>
      <c r="H62" s="4"/>
    </row>
  </sheetData>
  <mergeCells count="3">
    <mergeCell ref="A1:F1"/>
    <mergeCell ref="A9:C9"/>
    <mergeCell ref="H50:H5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F607CF11CD1240A916C5AA05F1838D" ma:contentTypeVersion="20" ma:contentTypeDescription="Create a new document." ma:contentTypeScope="" ma:versionID="e254f814a71b95019aa9659f02181265">
  <xsd:schema xmlns:xsd="http://www.w3.org/2001/XMLSchema" xmlns:xs="http://www.w3.org/2001/XMLSchema" xmlns:p="http://schemas.microsoft.com/office/2006/metadata/properties" xmlns:ns2="d3bbb46a-058a-4d73-80aa-1a67fff2e862" xmlns:ns3="02d267f7-0e10-478e-8e47-192e04362d54" targetNamespace="http://schemas.microsoft.com/office/2006/metadata/properties" ma:root="true" ma:fieldsID="cdf8e129f6e4a5f09c595aaef6d4ebf8" ns2:_="" ns3:_="">
    <xsd:import namespace="d3bbb46a-058a-4d73-80aa-1a67fff2e862"/>
    <xsd:import namespace="02d267f7-0e10-478e-8e47-192e04362d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InvoiceDept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bb46a-058a-4d73-80aa-1a67fff2e8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e3c5d3-d522-4eb2-8009-6c5dd7a6005c}" ma:internalName="TaxCatchAll" ma:showField="CatchAllData" ma:web="d3bbb46a-058a-4d73-80aa-1a67fff2e8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267f7-0e10-478e-8e47-192e04362d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27e136-15e8-43a9-90fc-791ed2499f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nvoiceDeptCode" ma:index="23" nillable="true" ma:displayName="Invoice Dept Code" ma:format="Dropdown" ma:internalName="InvoiceDeptCode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bbb46a-058a-4d73-80aa-1a67fff2e862" xsi:nil="true"/>
    <InvoiceDeptCode xmlns="02d267f7-0e10-478e-8e47-192e04362d54" xsi:nil="true"/>
    <lcf76f155ced4ddcb4097134ff3c332f xmlns="02d267f7-0e10-478e-8e47-192e04362d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6046EB0-9CEA-490F-B003-E7A4D0B6762D}"/>
</file>

<file path=customXml/itemProps2.xml><?xml version="1.0" encoding="utf-8"?>
<ds:datastoreItem xmlns:ds="http://schemas.openxmlformats.org/officeDocument/2006/customXml" ds:itemID="{3A849961-7A37-4330-9029-A28C532F606B}"/>
</file>

<file path=customXml/itemProps3.xml><?xml version="1.0" encoding="utf-8"?>
<ds:datastoreItem xmlns:ds="http://schemas.openxmlformats.org/officeDocument/2006/customXml" ds:itemID="{556B5CCE-BC15-4378-B4F0-7D31FD86B3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Barker</dc:creator>
  <cp:lastModifiedBy>Matthew Barker</cp:lastModifiedBy>
  <dcterms:created xsi:type="dcterms:W3CDTF">2023-10-12T13:04:55Z</dcterms:created>
  <dcterms:modified xsi:type="dcterms:W3CDTF">2023-10-12T13:06:25Z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0x010100FAF607CF11CD1240A916C5AA05F1838D</vt:lpwstr>
  </property>
</Properties>
</file>